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1340" windowHeight="6540" activeTab="0"/>
  </bookViews>
  <sheets>
    <sheet name="Analyte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<sst xmlns="http://schemas.openxmlformats.org/spreadsheetml/2006/main" count="71" uniqueCount="53">
  <si>
    <t>Labcode:</t>
  </si>
  <si>
    <t>Y</t>
  </si>
  <si>
    <t>X</t>
  </si>
  <si>
    <t>(Cons. Value)</t>
  </si>
  <si>
    <t>(Lab Result)</t>
  </si>
  <si>
    <t>Intercept</t>
  </si>
  <si>
    <t>Slope</t>
  </si>
  <si>
    <t>Variability</t>
  </si>
  <si>
    <t>Mean</t>
  </si>
  <si>
    <t>SD</t>
  </si>
  <si>
    <t>Corr. Coeff</t>
  </si>
  <si>
    <t>Name</t>
  </si>
  <si>
    <t>Hospital</t>
  </si>
  <si>
    <t>City</t>
  </si>
  <si>
    <t>Country</t>
  </si>
  <si>
    <t>Department</t>
  </si>
  <si>
    <t>Number</t>
  </si>
  <si>
    <t>Bias</t>
  </si>
  <si>
    <t>ANALYTE</t>
  </si>
  <si>
    <t>LCVa</t>
  </si>
  <si>
    <t>Long-term CVanalytical</t>
  </si>
  <si>
    <t>Figure coordinates</t>
  </si>
  <si>
    <t>Count</t>
  </si>
  <si>
    <t>Range</t>
  </si>
  <si>
    <t>CVb within</t>
  </si>
  <si>
    <t>CVb between</t>
  </si>
  <si>
    <t>Imprecision</t>
  </si>
  <si>
    <t>Diagnostic</t>
  </si>
  <si>
    <t>Monitoring</t>
  </si>
  <si>
    <t>Imprecision (Diagnostic)</t>
  </si>
  <si>
    <t>Imprecision (Monitoring)</t>
  </si>
  <si>
    <t>√</t>
  </si>
  <si>
    <t>%</t>
  </si>
  <si>
    <t>Survey</t>
  </si>
  <si>
    <t>Tea</t>
  </si>
  <si>
    <t>SIGMA</t>
  </si>
  <si>
    <t>Total Bias</t>
  </si>
  <si>
    <t>Constant Bias</t>
  </si>
  <si>
    <t xml:space="preserve"> Total Bias</t>
  </si>
  <si>
    <t>Constant B</t>
  </si>
  <si>
    <t>Prop. Bias</t>
  </si>
  <si>
    <t>Figure corodinates:</t>
  </si>
  <si>
    <t>Proportional Bias</t>
  </si>
  <si>
    <t>2015-1</t>
  </si>
  <si>
    <t>2015-2</t>
  </si>
  <si>
    <t>2015-3</t>
  </si>
  <si>
    <t>2015-4</t>
  </si>
  <si>
    <t>2016-1</t>
  </si>
  <si>
    <t>2016-2</t>
  </si>
  <si>
    <t>2016-3</t>
  </si>
  <si>
    <t>2016-4</t>
  </si>
  <si>
    <t>xxx</t>
  </si>
  <si>
    <t>XXXX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</si>
</sst>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#.00"/>
    <numFmt numFmtId="195" formatCode="#.000"/>
    <numFmt numFmtId="196" formatCode="#.0"/>
    <numFmt numFmtId="197" formatCode="#"/>
    <numFmt numFmtId="198" formatCode="0.00000000000000"/>
    <numFmt numFmtId="199" formatCode="0.000000000000000"/>
    <numFmt numFmtId="200" formatCode="0.0"/>
    <numFmt numFmtId="201" formatCode="0.000"/>
    <numFmt numFmtId="202" formatCode="0.000000"/>
    <numFmt numFmtId="203" formatCode="0.00000"/>
    <numFmt numFmtId="204" formatCode="0.0000"/>
    <numFmt numFmtId="205" formatCode="0.0%"/>
    <numFmt numFmtId="206" formatCode="0.000%"/>
    <numFmt numFmtId="207" formatCode="[$-809]dd\ mmmm\ yyyy"/>
    <numFmt numFmtId="208" formatCode="0.00000000"/>
    <numFmt numFmtId="209" formatCode="0.0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6"/>
      <color indexed="8"/>
      <name val="Arial"/>
      <family val="2"/>
    </font>
    <font>
      <b/>
      <sz val="8.7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200" fontId="0" fillId="0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205" fontId="2" fillId="0" borderId="0" xfId="0" applyNumberFormat="1" applyFont="1" applyFill="1" applyBorder="1" applyAlignment="1" applyProtection="1">
      <alignment horizontal="right"/>
      <protection hidden="1"/>
    </xf>
    <xf numFmtId="204" fontId="0" fillId="0" borderId="0" xfId="0" applyNumberFormat="1" applyFill="1" applyAlignment="1" applyProtection="1">
      <alignment/>
      <protection hidden="1"/>
    </xf>
    <xf numFmtId="2" fontId="5" fillId="33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Font="1" applyFill="1" applyAlignment="1" applyProtection="1">
      <alignment horizontal="centerContinuous" vertical="center"/>
      <protection/>
    </xf>
    <xf numFmtId="2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00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00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200" fontId="0" fillId="0" borderId="10" xfId="0" applyNumberFormat="1" applyFont="1" applyBorder="1" applyAlignment="1" applyProtection="1">
      <alignment horizontal="center"/>
      <protection locked="0"/>
    </xf>
    <xf numFmtId="200" fontId="0" fillId="0" borderId="11" xfId="0" applyNumberFormat="1" applyFont="1" applyBorder="1" applyAlignment="1" applyProtection="1">
      <alignment horizontal="center"/>
      <protection locked="0"/>
    </xf>
    <xf numFmtId="200" fontId="0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/>
    </xf>
    <xf numFmtId="2" fontId="7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horizontal="center" vertical="center"/>
      <protection hidden="1"/>
    </xf>
    <xf numFmtId="200" fontId="2" fillId="0" borderId="0" xfId="55" applyNumberFormat="1" applyFont="1" applyAlignment="1" applyProtection="1">
      <alignment horizontal="center"/>
      <protection/>
    </xf>
    <xf numFmtId="200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10" borderId="14" xfId="0" applyFill="1" applyBorder="1" applyAlignment="1" applyProtection="1">
      <alignment/>
      <protection/>
    </xf>
    <xf numFmtId="0" fontId="2" fillId="10" borderId="10" xfId="0" applyFont="1" applyFill="1" applyBorder="1" applyAlignment="1" applyProtection="1">
      <alignment horizontal="left" vertical="center"/>
      <protection/>
    </xf>
    <xf numFmtId="0" fontId="2" fillId="10" borderId="0" xfId="0" applyFont="1" applyFill="1" applyBorder="1" applyAlignment="1" applyProtection="1">
      <alignment/>
      <protection/>
    </xf>
    <xf numFmtId="200" fontId="2" fillId="10" borderId="0" xfId="0" applyNumberFormat="1" applyFont="1" applyFill="1" applyBorder="1" applyAlignment="1" applyProtection="1">
      <alignment horizontal="center"/>
      <protection/>
    </xf>
    <xf numFmtId="0" fontId="2" fillId="10" borderId="11" xfId="0" applyFont="1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/>
    </xf>
    <xf numFmtId="0" fontId="0" fillId="10" borderId="11" xfId="0" applyFill="1" applyBorder="1" applyAlignment="1" applyProtection="1">
      <alignment/>
      <protection/>
    </xf>
    <xf numFmtId="0" fontId="0" fillId="10" borderId="15" xfId="0" applyFill="1" applyBorder="1" applyAlignment="1" applyProtection="1">
      <alignment/>
      <protection/>
    </xf>
    <xf numFmtId="0" fontId="0" fillId="10" borderId="16" xfId="0" applyFill="1" applyBorder="1" applyAlignment="1" applyProtection="1">
      <alignment/>
      <protection/>
    </xf>
    <xf numFmtId="0" fontId="0" fillId="10" borderId="16" xfId="0" applyFill="1" applyBorder="1" applyAlignment="1" applyProtection="1">
      <alignment horizontal="center"/>
      <protection/>
    </xf>
    <xf numFmtId="0" fontId="0" fillId="10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 horizontal="center" vertical="center"/>
      <protection/>
    </xf>
    <xf numFmtId="16" fontId="1" fillId="0" borderId="18" xfId="0" applyNumberFormat="1" applyFont="1" applyBorder="1" applyAlignment="1" applyProtection="1">
      <alignment horizontal="center"/>
      <protection locked="0"/>
    </xf>
    <xf numFmtId="200" fontId="6" fillId="0" borderId="18" xfId="0" applyNumberFormat="1" applyFont="1" applyBorder="1" applyAlignment="1" applyProtection="1">
      <alignment horizontal="center" vertical="center"/>
      <protection locked="0"/>
    </xf>
    <xf numFmtId="200" fontId="6" fillId="0" borderId="13" xfId="0" applyNumberFormat="1" applyFont="1" applyBorder="1" applyAlignment="1" applyProtection="1">
      <alignment horizontal="center" vertical="center"/>
      <protection locked="0"/>
    </xf>
    <xf numFmtId="200" fontId="8" fillId="0" borderId="0" xfId="0" applyNumberFormat="1" applyFont="1" applyAlignment="1" applyProtection="1">
      <alignment horizontal="left" vertical="center"/>
      <protection/>
    </xf>
    <xf numFmtId="2" fontId="8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200" fontId="6" fillId="0" borderId="19" xfId="0" applyNumberFormat="1" applyFont="1" applyBorder="1" applyAlignment="1" applyProtection="1">
      <alignment horizontal="center" vertical="center"/>
      <protection/>
    </xf>
    <xf numFmtId="0" fontId="0" fillId="14" borderId="20" xfId="0" applyFill="1" applyBorder="1" applyAlignment="1" applyProtection="1">
      <alignment/>
      <protection/>
    </xf>
    <xf numFmtId="0" fontId="0" fillId="14" borderId="21" xfId="0" applyFill="1" applyBorder="1" applyAlignment="1" applyProtection="1">
      <alignment/>
      <protection/>
    </xf>
    <xf numFmtId="0" fontId="0" fillId="14" borderId="21" xfId="0" applyFill="1" applyBorder="1" applyAlignment="1" applyProtection="1">
      <alignment horizontal="center"/>
      <protection/>
    </xf>
    <xf numFmtId="0" fontId="0" fillId="14" borderId="14" xfId="0" applyFill="1" applyBorder="1" applyAlignment="1" applyProtection="1">
      <alignment/>
      <protection/>
    </xf>
    <xf numFmtId="0" fontId="2" fillId="14" borderId="10" xfId="0" applyFont="1" applyFill="1" applyBorder="1" applyAlignment="1" applyProtection="1">
      <alignment/>
      <protection/>
    </xf>
    <xf numFmtId="0" fontId="0" fillId="14" borderId="0" xfId="0" applyFill="1" applyBorder="1" applyAlignment="1" applyProtection="1">
      <alignment/>
      <protection/>
    </xf>
    <xf numFmtId="200" fontId="2" fillId="14" borderId="0" xfId="0" applyNumberFormat="1" applyFont="1" applyFill="1" applyBorder="1" applyAlignment="1" applyProtection="1">
      <alignment horizontal="center"/>
      <protection/>
    </xf>
    <xf numFmtId="0" fontId="0" fillId="14" borderId="11" xfId="0" applyFill="1" applyBorder="1" applyAlignment="1" applyProtection="1">
      <alignment/>
      <protection/>
    </xf>
    <xf numFmtId="0" fontId="0" fillId="14" borderId="16" xfId="0" applyFill="1" applyBorder="1" applyAlignment="1" applyProtection="1">
      <alignment/>
      <protection/>
    </xf>
    <xf numFmtId="0" fontId="0" fillId="14" borderId="17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200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2" fontId="52" fillId="0" borderId="0" xfId="0" applyNumberFormat="1" applyFont="1" applyAlignment="1" applyProtection="1">
      <alignment horizontal="left"/>
      <protection/>
    </xf>
    <xf numFmtId="2" fontId="52" fillId="0" borderId="0" xfId="0" applyNumberFormat="1" applyFont="1" applyAlignment="1" applyProtection="1">
      <alignment horizontal="center"/>
      <protection/>
    </xf>
    <xf numFmtId="200" fontId="52" fillId="0" borderId="0" xfId="0" applyNumberFormat="1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2" fillId="3" borderId="20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2" fontId="2" fillId="3" borderId="14" xfId="0" applyNumberFormat="1" applyFont="1" applyFill="1" applyBorder="1" applyAlignment="1" applyProtection="1">
      <alignment vertical="center"/>
      <protection/>
    </xf>
    <xf numFmtId="0" fontId="2" fillId="3" borderId="10" xfId="0" applyFont="1" applyFill="1" applyBorder="1" applyAlignment="1" applyProtection="1">
      <alignment horizontal="left" vertical="center"/>
      <protection/>
    </xf>
    <xf numFmtId="2" fontId="2" fillId="3" borderId="11" xfId="0" applyNumberFormat="1" applyFont="1" applyFill="1" applyBorder="1" applyAlignment="1" applyProtection="1">
      <alignment vertical="center"/>
      <protection/>
    </xf>
    <xf numFmtId="0" fontId="2" fillId="3" borderId="10" xfId="0" applyFont="1" applyFill="1" applyBorder="1" applyAlignment="1" applyProtection="1">
      <alignment vertical="center"/>
      <protection/>
    </xf>
    <xf numFmtId="0" fontId="2" fillId="3" borderId="1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200" fontId="2" fillId="3" borderId="0" xfId="0" applyNumberFormat="1" applyFont="1" applyFill="1" applyBorder="1" applyAlignment="1" applyProtection="1">
      <alignment horizontal="center"/>
      <protection/>
    </xf>
    <xf numFmtId="0" fontId="2" fillId="3" borderId="11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 horizontal="center"/>
      <protection/>
    </xf>
    <xf numFmtId="0" fontId="0" fillId="3" borderId="17" xfId="0" applyFill="1" applyBorder="1" applyAlignment="1" applyProtection="1">
      <alignment/>
      <protection/>
    </xf>
    <xf numFmtId="16" fontId="1" fillId="0" borderId="12" xfId="0" applyNumberFormat="1" applyFont="1" applyBorder="1" applyAlignment="1" applyProtection="1">
      <alignment horizontal="center"/>
      <protection locked="0"/>
    </xf>
    <xf numFmtId="200" fontId="0" fillId="0" borderId="15" xfId="0" applyNumberFormat="1" applyFont="1" applyFill="1" applyBorder="1" applyAlignment="1" applyProtection="1">
      <alignment horizontal="center"/>
      <protection locked="0"/>
    </xf>
    <xf numFmtId="20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0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10" borderId="20" xfId="0" applyFill="1" applyBorder="1" applyAlignment="1" applyProtection="1">
      <alignment/>
      <protection/>
    </xf>
    <xf numFmtId="0" fontId="0" fillId="10" borderId="21" xfId="0" applyFill="1" applyBorder="1" applyAlignment="1" applyProtection="1">
      <alignment/>
      <protection/>
    </xf>
    <xf numFmtId="0" fontId="0" fillId="10" borderId="21" xfId="0" applyFill="1" applyBorder="1" applyAlignment="1" applyProtection="1">
      <alignment horizontal="center"/>
      <protection/>
    </xf>
    <xf numFmtId="0" fontId="2" fillId="14" borderId="15" xfId="0" applyFont="1" applyFill="1" applyBorder="1" applyAlignment="1" applyProtection="1">
      <alignment/>
      <protection/>
    </xf>
    <xf numFmtId="200" fontId="2" fillId="14" borderId="16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Continuous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55"/>
          <c:w val="0.9075"/>
          <c:h val="0.8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Analyte!$B$15:$B$30</c:f>
              <c:numCache/>
            </c:numRef>
          </c:xVal>
          <c:yVal>
            <c:numRef>
              <c:f>Analyte!$C$15:$C$30</c:f>
              <c:numCache/>
            </c:numRef>
          </c:yVal>
          <c:smooth val="0"/>
        </c:ser>
        <c:ser>
          <c:idx val="5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Analyte!$G$36:$G$37</c:f>
              <c:numCache/>
            </c:numRef>
          </c:xVal>
          <c:yVal>
            <c:numRef>
              <c:f>Analyte!$F$36:$F$37</c:f>
              <c:numCache/>
            </c:numRef>
          </c:yVal>
          <c:smooth val="0"/>
        </c:ser>
        <c:axId val="19571862"/>
        <c:axId val="41929031"/>
      </c:scatterChart>
      <c:valAx>
        <c:axId val="19571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Consensus Value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9031"/>
        <c:crosses val="autoZero"/>
        <c:crossBetween val="midCat"/>
        <c:dispUnits/>
      </c:valAx>
      <c:valAx>
        <c:axId val="41929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Laboratory Result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1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</xdr:row>
      <xdr:rowOff>161925</xdr:rowOff>
    </xdr:from>
    <xdr:to>
      <xdr:col>12</xdr:col>
      <xdr:colOff>285750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3190875" y="857250"/>
        <a:ext cx="61912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5.28125" style="4" customWidth="1"/>
    <col min="2" max="3" width="14.140625" style="4" customWidth="1"/>
    <col min="4" max="5" width="11.28125" style="17" customWidth="1"/>
    <col min="6" max="7" width="10.7109375" style="4" customWidth="1"/>
    <col min="8" max="10" width="9.140625" style="4" customWidth="1"/>
    <col min="11" max="11" width="12.28125" style="4" customWidth="1"/>
    <col min="12" max="14" width="9.140625" style="4" customWidth="1"/>
    <col min="15" max="15" width="12.28125" style="4" customWidth="1"/>
    <col min="16" max="16" width="11.28125" style="4" bestFit="1" customWidth="1"/>
    <col min="17" max="17" width="7.8515625" style="3" customWidth="1"/>
    <col min="18" max="16384" width="9.140625" style="4" customWidth="1"/>
  </cols>
  <sheetData>
    <row r="1" spans="1:3" ht="24" customHeight="1">
      <c r="A1" s="15" t="s">
        <v>18</v>
      </c>
      <c r="B1" s="122" t="s">
        <v>52</v>
      </c>
      <c r="C1" s="16"/>
    </row>
    <row r="3" spans="1:17" s="19" customFormat="1" ht="18" customHeight="1">
      <c r="A3" s="18" t="s">
        <v>0</v>
      </c>
      <c r="B3" s="1" t="s">
        <v>51</v>
      </c>
      <c r="Q3" s="44"/>
    </row>
    <row r="5" spans="1:18" ht="15" customHeight="1">
      <c r="A5" s="20" t="s">
        <v>11</v>
      </c>
      <c r="B5" s="2" t="s">
        <v>51</v>
      </c>
      <c r="N5" s="92"/>
      <c r="O5" s="93"/>
      <c r="P5" s="93"/>
      <c r="Q5" s="94"/>
      <c r="R5" s="95"/>
    </row>
    <row r="6" spans="1:18" ht="15" customHeight="1">
      <c r="A6" s="20" t="s">
        <v>12</v>
      </c>
      <c r="B6" s="2" t="s">
        <v>51</v>
      </c>
      <c r="N6" s="96" t="s">
        <v>20</v>
      </c>
      <c r="O6" s="84"/>
      <c r="P6" s="84"/>
      <c r="Q6" s="86" t="e">
        <f>P43</f>
        <v>#VALUE!</v>
      </c>
      <c r="R6" s="97" t="s">
        <v>32</v>
      </c>
    </row>
    <row r="7" spans="1:18" ht="15" customHeight="1">
      <c r="A7" s="20" t="s">
        <v>15</v>
      </c>
      <c r="B7" s="2" t="s">
        <v>51</v>
      </c>
      <c r="N7" s="98"/>
      <c r="O7" s="84"/>
      <c r="P7" s="84"/>
      <c r="Q7" s="87"/>
      <c r="R7" s="97"/>
    </row>
    <row r="8" spans="1:18" ht="15" customHeight="1">
      <c r="A8" s="20" t="s">
        <v>13</v>
      </c>
      <c r="B8" s="2" t="s">
        <v>51</v>
      </c>
      <c r="M8" s="21"/>
      <c r="N8" s="96" t="s">
        <v>36</v>
      </c>
      <c r="O8" s="84"/>
      <c r="P8" s="84"/>
      <c r="Q8" s="86" t="e">
        <f>P45</f>
        <v>#VALUE!</v>
      </c>
      <c r="R8" s="97" t="s">
        <v>32</v>
      </c>
    </row>
    <row r="9" spans="1:18" ht="15" customHeight="1">
      <c r="A9" s="20" t="s">
        <v>14</v>
      </c>
      <c r="B9" s="2" t="s">
        <v>51</v>
      </c>
      <c r="M9" s="22"/>
      <c r="N9" s="98"/>
      <c r="O9" s="84"/>
      <c r="P9" s="84"/>
      <c r="Q9" s="85"/>
      <c r="R9" s="97"/>
    </row>
    <row r="10" spans="13:18" ht="15">
      <c r="M10" s="23"/>
      <c r="N10" s="99" t="s">
        <v>37</v>
      </c>
      <c r="O10" s="100"/>
      <c r="P10" s="100"/>
      <c r="Q10" s="101" t="e">
        <f>P47</f>
        <v>#VALUE!</v>
      </c>
      <c r="R10" s="102" t="s">
        <v>32</v>
      </c>
    </row>
    <row r="11" spans="13:18" ht="15">
      <c r="M11" s="23"/>
      <c r="N11" s="103"/>
      <c r="O11" s="104"/>
      <c r="P11" s="104"/>
      <c r="Q11" s="105"/>
      <c r="R11" s="102"/>
    </row>
    <row r="12" spans="1:18" ht="15">
      <c r="A12" s="24" t="s">
        <v>33</v>
      </c>
      <c r="B12" s="24" t="s">
        <v>2</v>
      </c>
      <c r="C12" s="24" t="s">
        <v>1</v>
      </c>
      <c r="D12" s="25"/>
      <c r="E12" s="25"/>
      <c r="M12" s="23"/>
      <c r="N12" s="99" t="s">
        <v>42</v>
      </c>
      <c r="O12" s="104"/>
      <c r="P12" s="104"/>
      <c r="Q12" s="101" t="e">
        <f>P48</f>
        <v>#VALUE!</v>
      </c>
      <c r="R12" s="102" t="s">
        <v>32</v>
      </c>
    </row>
    <row r="13" spans="1:18" ht="12.75">
      <c r="A13" s="24"/>
      <c r="B13" s="24" t="s">
        <v>3</v>
      </c>
      <c r="C13" s="24" t="s">
        <v>4</v>
      </c>
      <c r="D13" s="25"/>
      <c r="E13" s="25"/>
      <c r="N13" s="106"/>
      <c r="O13" s="107"/>
      <c r="P13" s="107"/>
      <c r="Q13" s="108"/>
      <c r="R13" s="109"/>
    </row>
    <row r="14" spans="1:5" ht="12">
      <c r="A14" s="3"/>
      <c r="B14" s="3"/>
      <c r="C14" s="3"/>
      <c r="D14" s="26"/>
      <c r="E14" s="26"/>
    </row>
    <row r="15" spans="1:18" ht="12.75">
      <c r="A15" s="65" t="s">
        <v>43</v>
      </c>
      <c r="B15" s="123"/>
      <c r="C15" s="124"/>
      <c r="D15" s="28"/>
      <c r="E15" s="26"/>
      <c r="N15" s="117"/>
      <c r="O15" s="118"/>
      <c r="P15" s="118"/>
      <c r="Q15" s="119"/>
      <c r="R15" s="51"/>
    </row>
    <row r="16" spans="1:18" ht="15">
      <c r="A16" s="110" t="s">
        <v>43</v>
      </c>
      <c r="B16" s="36"/>
      <c r="C16" s="37"/>
      <c r="D16" s="28"/>
      <c r="E16" s="26"/>
      <c r="N16" s="52" t="s">
        <v>29</v>
      </c>
      <c r="O16" s="53"/>
      <c r="P16" s="53"/>
      <c r="Q16" s="54">
        <f>B48</f>
        <v>0</v>
      </c>
      <c r="R16" s="55" t="e">
        <f>IF(Q6&lt;Q16,E48,E49)</f>
        <v>#VALUE!</v>
      </c>
    </row>
    <row r="17" spans="1:18" ht="12.75">
      <c r="A17" s="110" t="s">
        <v>44</v>
      </c>
      <c r="B17" s="36"/>
      <c r="C17" s="37"/>
      <c r="D17" s="28"/>
      <c r="E17" s="26"/>
      <c r="N17" s="56"/>
      <c r="O17" s="57"/>
      <c r="P17" s="57"/>
      <c r="Q17" s="58"/>
      <c r="R17" s="59"/>
    </row>
    <row r="18" spans="1:18" ht="15">
      <c r="A18" s="39" t="s">
        <v>44</v>
      </c>
      <c r="B18" s="36"/>
      <c r="C18" s="37"/>
      <c r="D18" s="28"/>
      <c r="E18" s="26"/>
      <c r="N18" s="52" t="s">
        <v>30</v>
      </c>
      <c r="O18" s="57"/>
      <c r="P18" s="57"/>
      <c r="Q18" s="54">
        <f>C48</f>
        <v>0</v>
      </c>
      <c r="R18" s="55" t="e">
        <f>IF(Q6&lt;Q18,E48,E49)</f>
        <v>#VALUE!</v>
      </c>
    </row>
    <row r="19" spans="1:18" ht="12.75">
      <c r="A19" s="39" t="s">
        <v>45</v>
      </c>
      <c r="B19" s="36"/>
      <c r="C19" s="37"/>
      <c r="D19" s="28"/>
      <c r="E19" s="26"/>
      <c r="N19" s="56"/>
      <c r="O19" s="57"/>
      <c r="P19" s="57"/>
      <c r="Q19" s="58"/>
      <c r="R19" s="59"/>
    </row>
    <row r="20" spans="1:18" ht="15">
      <c r="A20" s="39" t="s">
        <v>45</v>
      </c>
      <c r="B20" s="38"/>
      <c r="C20" s="37"/>
      <c r="D20" s="28"/>
      <c r="E20" s="26"/>
      <c r="N20" s="52" t="s">
        <v>17</v>
      </c>
      <c r="O20" s="57"/>
      <c r="P20" s="57"/>
      <c r="Q20" s="54" t="e">
        <f>B50</f>
        <v>#VALUE!</v>
      </c>
      <c r="R20" s="55" t="e">
        <f>IF(Q8&lt;Q20,E48,E49)</f>
        <v>#VALUE!</v>
      </c>
    </row>
    <row r="21" spans="1:18" ht="12.75">
      <c r="A21" s="39" t="s">
        <v>46</v>
      </c>
      <c r="B21" s="36"/>
      <c r="C21" s="37"/>
      <c r="D21" s="28"/>
      <c r="E21" s="26"/>
      <c r="N21" s="60"/>
      <c r="O21" s="61"/>
      <c r="P21" s="61"/>
      <c r="Q21" s="62"/>
      <c r="R21" s="63"/>
    </row>
    <row r="22" spans="1:5" ht="12.75">
      <c r="A22" s="39" t="s">
        <v>46</v>
      </c>
      <c r="B22" s="36"/>
      <c r="C22" s="37"/>
      <c r="D22" s="28"/>
      <c r="E22" s="26"/>
    </row>
    <row r="23" spans="1:18" ht="12.75">
      <c r="A23" s="39" t="s">
        <v>47</v>
      </c>
      <c r="B23" s="36"/>
      <c r="C23" s="37"/>
      <c r="D23" s="28"/>
      <c r="E23" s="26"/>
      <c r="N23" s="73"/>
      <c r="O23" s="74"/>
      <c r="P23" s="74"/>
      <c r="Q23" s="75"/>
      <c r="R23" s="76"/>
    </row>
    <row r="24" spans="1:18" ht="15">
      <c r="A24" s="39" t="s">
        <v>47</v>
      </c>
      <c r="B24" s="36"/>
      <c r="C24" s="37"/>
      <c r="D24" s="28"/>
      <c r="E24" s="26"/>
      <c r="N24" s="77" t="s">
        <v>35</v>
      </c>
      <c r="O24" s="78"/>
      <c r="P24" s="78"/>
      <c r="Q24" s="79" t="e">
        <f>(B35-Q8)/Q6</f>
        <v>#VALUE!</v>
      </c>
      <c r="R24" s="80"/>
    </row>
    <row r="25" spans="1:18" ht="15">
      <c r="A25" s="39" t="s">
        <v>48</v>
      </c>
      <c r="B25" s="36"/>
      <c r="C25" s="37"/>
      <c r="D25" s="28"/>
      <c r="E25" s="26"/>
      <c r="N25" s="120"/>
      <c r="O25" s="81"/>
      <c r="P25" s="81"/>
      <c r="Q25" s="121"/>
      <c r="R25" s="82"/>
    </row>
    <row r="26" spans="1:5" ht="12.75">
      <c r="A26" s="39" t="s">
        <v>48</v>
      </c>
      <c r="B26" s="36"/>
      <c r="C26" s="37"/>
      <c r="D26" s="28"/>
      <c r="E26" s="26"/>
    </row>
    <row r="27" spans="1:5" ht="12.75">
      <c r="A27" s="39" t="s">
        <v>49</v>
      </c>
      <c r="B27" s="36"/>
      <c r="C27" s="37"/>
      <c r="D27" s="28"/>
      <c r="E27" s="26"/>
    </row>
    <row r="28" spans="1:18" ht="15">
      <c r="A28" s="39" t="s">
        <v>49</v>
      </c>
      <c r="B28" s="36"/>
      <c r="C28" s="37"/>
      <c r="D28" s="28"/>
      <c r="E28" s="26"/>
      <c r="N28" s="116"/>
      <c r="O28" s="113"/>
      <c r="P28" s="113"/>
      <c r="Q28" s="115"/>
      <c r="R28" s="113"/>
    </row>
    <row r="29" spans="1:18" ht="15">
      <c r="A29" s="39" t="s">
        <v>50</v>
      </c>
      <c r="B29" s="36"/>
      <c r="C29" s="37"/>
      <c r="D29" s="28"/>
      <c r="E29" s="26"/>
      <c r="N29" s="116"/>
      <c r="O29" s="113"/>
      <c r="P29" s="113"/>
      <c r="Q29" s="115"/>
      <c r="R29" s="113"/>
    </row>
    <row r="30" spans="1:18" ht="12.75">
      <c r="A30" s="40" t="s">
        <v>50</v>
      </c>
      <c r="B30" s="111"/>
      <c r="C30" s="112"/>
      <c r="D30" s="28"/>
      <c r="E30" s="26"/>
      <c r="N30" s="113"/>
      <c r="O30" s="113"/>
      <c r="P30" s="113"/>
      <c r="Q30" s="114"/>
      <c r="R30" s="113"/>
    </row>
    <row r="31" spans="1:5" ht="12.75">
      <c r="A31" s="24"/>
      <c r="B31" s="27"/>
      <c r="C31" s="27"/>
      <c r="D31" s="28"/>
      <c r="E31" s="26"/>
    </row>
    <row r="32" spans="1:5" ht="19.5" customHeight="1">
      <c r="A32" s="125" t="s">
        <v>24</v>
      </c>
      <c r="B32" s="66"/>
      <c r="C32" s="27"/>
      <c r="D32" s="28"/>
      <c r="E32" s="26"/>
    </row>
    <row r="33" spans="1:5" ht="19.5" customHeight="1">
      <c r="A33" s="126" t="s">
        <v>25</v>
      </c>
      <c r="B33" s="67"/>
      <c r="C33" s="27"/>
      <c r="D33" s="28"/>
      <c r="E33" s="26"/>
    </row>
    <row r="34" spans="1:5" ht="12.75">
      <c r="A34" s="24"/>
      <c r="B34" s="27"/>
      <c r="C34" s="27"/>
      <c r="D34" s="28"/>
      <c r="E34" s="26"/>
    </row>
    <row r="35" spans="1:5" s="70" customFormat="1" ht="19.5" customHeight="1">
      <c r="A35" s="71" t="s">
        <v>34</v>
      </c>
      <c r="B35" s="72">
        <f>(1.65*(0.5*B32))+(0.25*SQRT((B32^2)+(B33^2)))</f>
        <v>0</v>
      </c>
      <c r="C35" s="68"/>
      <c r="D35" s="69"/>
      <c r="E35" s="69"/>
    </row>
    <row r="36" spans="1:7" ht="12.75">
      <c r="A36" s="24"/>
      <c r="B36" s="27"/>
      <c r="C36" s="27"/>
      <c r="D36" s="88" t="s">
        <v>41</v>
      </c>
      <c r="E36" s="89"/>
      <c r="F36" s="90">
        <f>B40</f>
        <v>0</v>
      </c>
      <c r="G36" s="91">
        <f>C40</f>
        <v>0</v>
      </c>
    </row>
    <row r="37" spans="1:7" ht="12.75" hidden="1">
      <c r="A37" s="24"/>
      <c r="B37" s="27"/>
      <c r="C37" s="27"/>
      <c r="D37" s="89"/>
      <c r="E37" s="89"/>
      <c r="F37" s="90">
        <f>B41</f>
        <v>0</v>
      </c>
      <c r="G37" s="90">
        <f>C41</f>
        <v>0</v>
      </c>
    </row>
    <row r="38" spans="1:5" ht="12.75" hidden="1">
      <c r="A38" s="24"/>
      <c r="B38" s="27"/>
      <c r="C38" s="27"/>
      <c r="D38" s="28"/>
      <c r="E38" s="26"/>
    </row>
    <row r="39" spans="1:5" ht="12.75" hidden="1">
      <c r="A39" s="24"/>
      <c r="B39" s="34" t="s">
        <v>21</v>
      </c>
      <c r="C39" s="30"/>
      <c r="D39" s="28"/>
      <c r="E39" s="26"/>
    </row>
    <row r="40" spans="1:5" ht="12.75" hidden="1">
      <c r="A40" s="24"/>
      <c r="B40" s="33">
        <v>0</v>
      </c>
      <c r="C40" s="35">
        <v>0</v>
      </c>
      <c r="D40" s="28"/>
      <c r="E40" s="26"/>
    </row>
    <row r="41" spans="1:5" ht="12.75" hidden="1">
      <c r="A41" s="24" t="s">
        <v>23</v>
      </c>
      <c r="B41" s="33">
        <f>MAX(B15:C30)*1.2</f>
        <v>0</v>
      </c>
      <c r="C41" s="33">
        <f>MAX(B15:C30)*1.2</f>
        <v>0</v>
      </c>
      <c r="D41" s="28"/>
      <c r="E41" s="26"/>
    </row>
    <row r="42" spans="1:17" ht="12" hidden="1">
      <c r="A42" s="31" t="s">
        <v>22</v>
      </c>
      <c r="B42" s="6"/>
      <c r="C42" s="32">
        <f>COUNT(C15:C30)</f>
        <v>0</v>
      </c>
      <c r="D42" s="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48"/>
    </row>
    <row r="43" spans="1:19" s="29" customFormat="1" ht="15" hidden="1">
      <c r="A43" s="7" t="s">
        <v>8</v>
      </c>
      <c r="B43" s="8" t="e">
        <f>AVERAGE(B15:B30)</f>
        <v>#DIV/0!</v>
      </c>
      <c r="C43" s="8" t="e">
        <f>AVERAGE(C15:C30)</f>
        <v>#DIV/0!</v>
      </c>
      <c r="D43" s="9"/>
      <c r="E43" s="10"/>
      <c r="F43" s="11"/>
      <c r="G43" s="12" t="s">
        <v>5</v>
      </c>
      <c r="H43" s="10" t="e">
        <f>INTERCEPT($C$15:$C$30,$B$15:$B$30)</f>
        <v>#DIV/0!</v>
      </c>
      <c r="I43" s="11"/>
      <c r="J43" s="11"/>
      <c r="K43" s="12" t="s">
        <v>7</v>
      </c>
      <c r="L43" s="10" t="e">
        <f>STEYX($C$15:$C$30,$B$15:$B$30)</f>
        <v>#DIV/0!</v>
      </c>
      <c r="M43" s="11"/>
      <c r="N43" s="11"/>
      <c r="O43" s="12" t="s">
        <v>19</v>
      </c>
      <c r="P43" s="46" t="e">
        <f>IF(C42&gt;=8,((L43/H45)/C43),"N &lt; 8")*100</f>
        <v>#VALUE!</v>
      </c>
      <c r="Q43" s="49"/>
      <c r="R43" s="12"/>
      <c r="S43" s="13"/>
    </row>
    <row r="44" spans="1:19" s="29" customFormat="1" ht="12.75" hidden="1">
      <c r="A44" s="7" t="s">
        <v>9</v>
      </c>
      <c r="B44" s="8"/>
      <c r="C44" s="8" t="e">
        <f>STDEV(C15:C30)</f>
        <v>#DIV/0!</v>
      </c>
      <c r="D44" s="9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49"/>
      <c r="R44" s="11"/>
      <c r="S44" s="11"/>
    </row>
    <row r="45" spans="1:19" s="29" customFormat="1" ht="15" hidden="1">
      <c r="A45" s="7" t="s">
        <v>16</v>
      </c>
      <c r="B45" s="8">
        <f>COUNT(B15:B30)</f>
        <v>0</v>
      </c>
      <c r="C45" s="9"/>
      <c r="D45" s="9"/>
      <c r="E45" s="10"/>
      <c r="F45" s="11"/>
      <c r="G45" s="12" t="s">
        <v>6</v>
      </c>
      <c r="H45" s="10" t="e">
        <f>SLOPE($C$15:$C$30,$B$15:$B$30)</f>
        <v>#DIV/0!</v>
      </c>
      <c r="I45" s="11"/>
      <c r="J45" s="11"/>
      <c r="K45" s="12" t="s">
        <v>10</v>
      </c>
      <c r="L45" s="14" t="e">
        <f>RSQ(C15:C30,B15:B30)</f>
        <v>#DIV/0!</v>
      </c>
      <c r="M45" s="11"/>
      <c r="N45" s="11"/>
      <c r="O45" s="83" t="s">
        <v>38</v>
      </c>
      <c r="P45" s="47" t="e">
        <f>IF(C42&gt;=8,(SQRT((($B$45-1)/$B$45)*(($H$45-1)^2*$C$44^2)+($B$43-$C$43)^2))/$C$43,"N &lt; 8")*100</f>
        <v>#VALUE!</v>
      </c>
      <c r="Q45" s="49"/>
      <c r="R45" s="12"/>
      <c r="S45" s="11"/>
    </row>
    <row r="46" spans="1:17" s="29" customFormat="1" ht="12" hidden="1">
      <c r="A46" s="11"/>
      <c r="B46" s="11"/>
      <c r="C46" s="11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49"/>
    </row>
    <row r="47" spans="2:17" ht="15" hidden="1">
      <c r="B47" s="42" t="s">
        <v>27</v>
      </c>
      <c r="C47" s="42" t="s">
        <v>28</v>
      </c>
      <c r="D47" s="5"/>
      <c r="E47" s="5"/>
      <c r="F47" s="6"/>
      <c r="G47" s="6"/>
      <c r="H47" s="6"/>
      <c r="I47" s="6"/>
      <c r="J47" s="6"/>
      <c r="K47" s="6"/>
      <c r="L47" s="6"/>
      <c r="M47" s="6"/>
      <c r="N47" s="6"/>
      <c r="O47" s="41" t="s">
        <v>39</v>
      </c>
      <c r="P47" s="47" t="e">
        <f>IF(C42&gt;=8,(SQRT(($B$43-$C$43)^2))/$C$43,"N &lt; 8")*100</f>
        <v>#VALUE!</v>
      </c>
      <c r="Q47" s="48"/>
    </row>
    <row r="48" spans="1:17" ht="15" hidden="1">
      <c r="A48" s="41" t="s">
        <v>26</v>
      </c>
      <c r="B48" s="64">
        <f>0.58*SQRT((B32^2)+(B33^2))</f>
        <v>0</v>
      </c>
      <c r="C48" s="42">
        <f>0.5*B32</f>
        <v>0</v>
      </c>
      <c r="D48" s="5"/>
      <c r="E48" s="43" t="s">
        <v>31</v>
      </c>
      <c r="F48" s="6"/>
      <c r="G48" s="6"/>
      <c r="H48" s="6"/>
      <c r="I48" s="6"/>
      <c r="J48" s="6"/>
      <c r="K48" s="6"/>
      <c r="L48" s="6"/>
      <c r="M48" s="6"/>
      <c r="N48" s="6"/>
      <c r="O48" s="41" t="s">
        <v>40</v>
      </c>
      <c r="P48" s="47" t="e">
        <f>IF(C42&gt;=8,(SQRT((($B$45-1)/$B$45)*(($H$45-1)^2*$C$44^2)))/$C$43,"N &lt; 8")*100</f>
        <v>#VALUE!</v>
      </c>
      <c r="Q48" s="48"/>
    </row>
    <row r="49" spans="1:17" ht="12" hidden="1">
      <c r="A49" s="6"/>
      <c r="D49" s="5"/>
      <c r="E49" s="45" t="s">
        <v>2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8"/>
    </row>
    <row r="50" spans="1:17" ht="12" hidden="1">
      <c r="A50" s="34" t="s">
        <v>17</v>
      </c>
      <c r="B50" s="50" t="e">
        <f>0.25*SQRT((P43^2)+(B33^2))</f>
        <v>#VALUE!</v>
      </c>
      <c r="C50" s="6"/>
      <c r="D50" s="5"/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8"/>
    </row>
    <row r="51" spans="6:13" ht="12" hidden="1">
      <c r="F51" s="6"/>
      <c r="G51" s="6"/>
      <c r="H51" s="6"/>
      <c r="I51" s="6"/>
      <c r="J51" s="6"/>
      <c r="K51" s="6"/>
      <c r="L51" s="6"/>
      <c r="M51" s="6"/>
    </row>
    <row r="52" spans="1:13" ht="12">
      <c r="A52" s="6"/>
      <c r="B52" s="6"/>
      <c r="C52" s="6"/>
      <c r="D52" s="5"/>
      <c r="E52" s="5"/>
      <c r="F52" s="6"/>
      <c r="G52" s="6"/>
      <c r="H52" s="6"/>
      <c r="I52" s="6"/>
      <c r="J52" s="6"/>
      <c r="K52" s="6"/>
      <c r="L52" s="6"/>
      <c r="M52" s="6"/>
    </row>
  </sheetData>
  <sheetProtection password="FA4F" sheet="1" selectLockedCells="1"/>
  <printOptions/>
  <pageMargins left="0.4330708661417323" right="0.2362204724409449" top="0.2362204724409449" bottom="0.1968503937007874" header="0.2362204724409449" footer="0.196850393700787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Meijer</dc:creator>
  <cp:keywords/>
  <dc:description/>
  <cp:lastModifiedBy>Piet Meijer</cp:lastModifiedBy>
  <cp:lastPrinted>2016-04-23T16:38:15Z</cp:lastPrinted>
  <dcterms:created xsi:type="dcterms:W3CDTF">2001-06-06T19:31:36Z</dcterms:created>
  <dcterms:modified xsi:type="dcterms:W3CDTF">2017-02-01T15:15:43Z</dcterms:modified>
  <cp:category/>
  <cp:version/>
  <cp:contentType/>
  <cp:contentStatus/>
</cp:coreProperties>
</file>